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<sst xmlns="http://schemas.openxmlformats.org/spreadsheetml/2006/main" count="1829" uniqueCount="278">
  <si>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</si>
  <si>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</si>
  <si>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</si>
  <si>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</si>
  <si>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</si>
  <si>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</si>
  <si>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</si>
  <si>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</si>
  <si>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</si>
  <si>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</si>
  <si>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</si>
  <si>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</si>
  <si>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</si>
  <si>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</si>
  <si>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</si>
  <si>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</si>
  <si>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</si>
  <si>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</si>
  <si>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</si>
  <si>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</si>
  <si>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</si>
  <si>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</si>
  <si>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</si>
  <si>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</si>
  <si>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</si>
  <si>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</si>
  <si>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</si>
  <si>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</si>
  <si>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</si>
  <si>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</si>
  <si>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</si>
  <si>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</si>
  <si>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</si>
  <si>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</si>
  <si>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</si>
  <si>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</si>
  <si>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</si>
  <si>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</si>
  <si>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</si>
  <si>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</si>
  <si>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</si>
  <si>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</si>
  <si>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</si>
  <si>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</si>
  <si>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</si>
  <si>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</si>
  <si>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</si>
  <si>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</si>
  <si>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</si>
  <si>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</si>
  <si>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</si>
  <si>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</si>
  <si>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</si>
  <si>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</si>
  <si>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</si>
  <si>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</si>
  <si>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</si>
  <si>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</si>
  <si>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</si>
  <si>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</si>
  <si>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</si>
  <si>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</si>
  <si>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</si>
  <si>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</si>
  <si>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</si>
  <si>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</si>
  <si>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</si>
  <si>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</si>
  <si>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</si>
  <si>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</si>
  <si>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</si>
  <si>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</si>
  <si>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</si>
  <si>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</si>
  <si>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</si>
  <si>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</si>
  <si>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</si>
  <si>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</si>
  <si>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</si>
  <si>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</si>
  <si>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</si>
  <si>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</si>
  <si>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</si>
  <si>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</si>
  <si>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</si>
  <si>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</si>
  <si>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</si>
  <si>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</si>
  <si>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</si>
  <si>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</si>
  <si>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</si>
  <si>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</si>
  <si>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</si>
  <si>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</si>
  <si>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</si>
  <si>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</si>
  <si>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</si>
  <si>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</si>
  <si>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</si>
  <si>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</si>
  <si>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</si>
  <si>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</si>
  <si>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</si>
  <si>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</si>
  <si>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</si>
  <si>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</si>
  <si>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</si>
  <si>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</si>
  <si>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</si>
  <si>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</si>
  <si>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</si>
  <si>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</si>
  <si>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</si>
  <si>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</si>
  <si>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</si>
  <si>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</si>
  <si>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</si>
  <si>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</si>
  <si>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</si>
  <si>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</si>
  <si>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</si>
  <si>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</si>
  <si>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</si>
  <si>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</si>
  <si>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</si>
  <si>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</si>
  <si>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</si>
  <si>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</si>
  <si>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</si>
  <si>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</si>
  <si>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</si>
  <si>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</si>
  <si>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</si>
  <si>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</si>
  <si>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</si>
  <si>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</si>
  <si>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</si>
  <si>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</si>
  <si>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</si>
  <si>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</si>
  <si>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</si>
  <si>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</si>
  <si>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</si>
  <si>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</si>
  <si>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</si>
  <si>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</si>
  <si>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</si>
  <si>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</si>
  <si>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</si>
  <si>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</si>
  <si>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</si>
  <si>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</si>
  <si>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</si>
  <si>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</si>
  <si>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</si>
  <si>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</si>
  <si>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</si>
  <si>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</si>
  <si>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</si>
  <si>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</si>
  <si>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</si>
  <si>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</si>
  <si>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</si>
  <si>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</si>
  <si>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</si>
  <si>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</si>
  <si>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</si>
  <si>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</si>
  <si>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</si>
  <si>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</si>
  <si>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</si>
  <si>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</si>
  <si>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</si>
  <si>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</si>
  <si>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</si>
  <si>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</si>
  <si>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</si>
  <si>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</si>
  <si>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</si>
  <si>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</si>
  <si>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</si>
  <si>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</si>
  <si>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</si>
  <si>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</si>
  <si>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</si>
  <si>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</si>
  <si>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</si>
  <si>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</si>
  <si>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</si>
  <si>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</si>
  <si>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</si>
  <si>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</si>
  <si>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</si>
  <si>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</si>
  <si>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</si>
  <si>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</si>
  <si>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</si>
  <si>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</si>
  <si>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</si>
  <si>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</si>
  <si>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</si>
  <si>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</si>
  <si>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</si>
  <si>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</si>
  <si>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</si>
  <si>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</si>
  <si>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</si>
  <si>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</si>
  <si>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</si>
  <si>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</si>
  <si>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</si>
  <si>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</si>
  <si>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</si>
  <si>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</si>
  <si>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</si>
  <si>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</si>
  <si>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</si>
  <si>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</si>
  <si>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</si>
  <si>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</si>
  <si>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</si>
  <si>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</si>
  <si>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</si>
  <si>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</si>
  <si>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</si>
  <si>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</si>
  <si>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</si>
  <si>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</si>
  <si>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</si>
  <si>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</si>
  <si>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</si>
  <si>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</si>
  <si>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</si>
  <si>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</si>
  <si>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</si>
  <si>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</si>
  <si>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</si>
  <si>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</si>
  <si>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</si>
  <si>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</si>
  <si>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</si>
  <si>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</si>
  <si>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</si>
  <si>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</si>
  <si>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</si>
  <si>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</si>
  <si>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</si>
  <si>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</si>
  <si>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</si>
  <si>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</si>
  <si>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</si>
  <si>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</si>
  <si>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</si>
  <si>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</si>
  <si>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</si>
  <si>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</si>
  <si>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</si>
  <si>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</si>
  <si>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</si>
  <si>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</si>
  <si>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</si>
  <si>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</si>
  <si>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</si>
  <si>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</si>
  <si>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</si>
  <si>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</si>
  <si>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</si>
  <si>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</si>
  <si>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</si>
  <si>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</si>
  <si>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</si>
  <si>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</si>
  <si>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</si>
  <si>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</si>
  <si>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</si>
  <si>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</si>
  <si>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</si>
  <si>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15.09.14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</si>
</sst>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22401326.39999999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8" sqref="G14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324593.45999999996</v>
      </c>
      <c r="G8" s="22">
        <f aca="true" t="shared" si="0" ref="G8:G30">F8-E8</f>
        <v>-26765.339999999967</v>
      </c>
      <c r="H8" s="51">
        <f>F8/E8*100</f>
        <v>92.3823339560586</v>
      </c>
      <c r="I8" s="36">
        <f aca="true" t="shared" si="1" ref="I8:I17">F8-D8</f>
        <v>-163882.84000000003</v>
      </c>
      <c r="J8" s="36">
        <f aca="true" t="shared" si="2" ref="J8:J14">F8/D8*100</f>
        <v>66.45019625312425</v>
      </c>
      <c r="K8" s="36">
        <f>F8-344287.2</f>
        <v>-19693.74000000005</v>
      </c>
      <c r="L8" s="136">
        <f>F8/344287.2</f>
        <v>0.9427985124047596</v>
      </c>
      <c r="M8" s="22">
        <f>M10+M19+M33+M56+M68+M30</f>
        <v>39345.409999999996</v>
      </c>
      <c r="N8" s="22">
        <f>N10+N19+N33+N56+N68+N30</f>
        <v>15657.689999999997</v>
      </c>
      <c r="O8" s="36">
        <f aca="true" t="shared" si="3" ref="O8:O71">N8-M8</f>
        <v>-23687.72</v>
      </c>
      <c r="P8" s="36">
        <f>F8/M8*100</f>
        <v>824.9843120201314</v>
      </c>
      <c r="Q8" s="36">
        <f>N8-37510.4</f>
        <v>-21852.710000000006</v>
      </c>
      <c r="R8" s="134">
        <f>N8/37510.4</f>
        <v>0.417422634789285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264671.61</v>
      </c>
      <c r="G9" s="22">
        <f t="shared" si="0"/>
        <v>264671.61</v>
      </c>
      <c r="H9" s="20"/>
      <c r="I9" s="56">
        <f t="shared" si="1"/>
        <v>-122341.59000000003</v>
      </c>
      <c r="J9" s="56">
        <f t="shared" si="2"/>
        <v>68.38826427625723</v>
      </c>
      <c r="K9" s="56"/>
      <c r="L9" s="135"/>
      <c r="M9" s="20">
        <f>M10+M17</f>
        <v>32323.5</v>
      </c>
      <c r="N9" s="20">
        <f>N10+N17</f>
        <v>14393.179999999993</v>
      </c>
      <c r="O9" s="36">
        <f t="shared" si="3"/>
        <v>-17930.320000000007</v>
      </c>
      <c r="P9" s="56">
        <f>F9/M9*100</f>
        <v>818.8210125759897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264671.61</v>
      </c>
      <c r="G10" s="49">
        <f t="shared" si="0"/>
        <v>-22787.890000000014</v>
      </c>
      <c r="H10" s="40">
        <f aca="true" t="shared" si="4" ref="H10:H17">F10/E10*100</f>
        <v>92.07266067045965</v>
      </c>
      <c r="I10" s="56">
        <f t="shared" si="1"/>
        <v>-122341.59000000003</v>
      </c>
      <c r="J10" s="56">
        <f t="shared" si="2"/>
        <v>68.38826427625723</v>
      </c>
      <c r="K10" s="141">
        <f>F10-272674.4</f>
        <v>-8002.790000000037</v>
      </c>
      <c r="L10" s="142">
        <f>F10/272674.4</f>
        <v>0.9706507468247842</v>
      </c>
      <c r="M10" s="40">
        <f>E10-серпень!E10</f>
        <v>32323.5</v>
      </c>
      <c r="N10" s="40">
        <f>F10-серпень!F10</f>
        <v>14393.179999999993</v>
      </c>
      <c r="O10" s="53">
        <f t="shared" si="3"/>
        <v>-17930.320000000007</v>
      </c>
      <c r="P10" s="56">
        <f aca="true" t="shared" si="5" ref="P10:P17">N10/M10*100</f>
        <v>44.5285318730954</v>
      </c>
      <c r="Q10" s="141">
        <f>N10-29967.1</f>
        <v>-15573.920000000006</v>
      </c>
      <c r="R10" s="142">
        <f>N10/29967.1</f>
        <v>0.48029939500318664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-312.3</v>
      </c>
      <c r="G19" s="49">
        <f t="shared" si="0"/>
        <v>-1368.8999999999999</v>
      </c>
      <c r="H19" s="40">
        <f aca="true" t="shared" si="6" ref="H19:H29">F19/E19*100</f>
        <v>-29.55706984667803</v>
      </c>
      <c r="I19" s="56">
        <f aca="true" t="shared" si="7" ref="I19:I29">F19-D19</f>
        <v>-1312.3</v>
      </c>
      <c r="J19" s="56">
        <f aca="true" t="shared" si="8" ref="J19:J29">F19/D19*100</f>
        <v>-31.230000000000004</v>
      </c>
      <c r="K19" s="167">
        <f>F19-6479.1</f>
        <v>-6791.400000000001</v>
      </c>
      <c r="L19" s="168">
        <f>F19/6479.1</f>
        <v>-0.04820113904708987</v>
      </c>
      <c r="M19" s="40">
        <f>E19-серпень!E19</f>
        <v>11</v>
      </c>
      <c r="N19" s="40">
        <f>F19-серпень!F19</f>
        <v>-385.01</v>
      </c>
      <c r="O19" s="53">
        <f t="shared" si="3"/>
        <v>-396.01</v>
      </c>
      <c r="P19" s="56">
        <f aca="true" t="shared" si="9" ref="P19:P29">N19/M19*100</f>
        <v>-3500.090909090909</v>
      </c>
      <c r="Q19" s="56">
        <f>N19-362</f>
        <v>-747.01</v>
      </c>
      <c r="R19" s="135">
        <f>N19/362</f>
        <v>-1.0635635359116022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187.78</v>
      </c>
      <c r="G29" s="49">
        <f t="shared" si="0"/>
        <v>-608.82</v>
      </c>
      <c r="H29" s="40">
        <f t="shared" si="6"/>
        <v>23.57268390660306</v>
      </c>
      <c r="I29" s="56">
        <f t="shared" si="7"/>
        <v>-742.22</v>
      </c>
      <c r="J29" s="56">
        <f t="shared" si="8"/>
        <v>20.191397849462366</v>
      </c>
      <c r="K29" s="148">
        <f>F29-2860</f>
        <v>-2672.22</v>
      </c>
      <c r="L29" s="149">
        <f>F29/2860</f>
        <v>0.06565734265734266</v>
      </c>
      <c r="M29" s="40">
        <f>E29-серпень!E29</f>
        <v>11</v>
      </c>
      <c r="N29" s="40">
        <f>F29-серпень!F29</f>
        <v>-385.34000000000003</v>
      </c>
      <c r="O29" s="148">
        <f t="shared" si="3"/>
        <v>-396.34000000000003</v>
      </c>
      <c r="P29" s="145">
        <f t="shared" si="9"/>
        <v>-3503.090909090909</v>
      </c>
      <c r="Q29" s="148">
        <f>N29-361.95</f>
        <v>-747.29</v>
      </c>
      <c r="R29" s="149">
        <f>N29/361.95</f>
        <v>-1.0646221853847218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55446.76</v>
      </c>
      <c r="G33" s="49">
        <f aca="true" t="shared" si="14" ref="G33:G72">F33-E33</f>
        <v>-2255.3399999999965</v>
      </c>
      <c r="H33" s="40">
        <f aca="true" t="shared" si="15" ref="H33:H67">F33/E33*100</f>
        <v>96.09140741844752</v>
      </c>
      <c r="I33" s="56">
        <f>F33-D33</f>
        <v>-38119.24</v>
      </c>
      <c r="J33" s="56">
        <f aca="true" t="shared" si="16" ref="J33:J72">F33/D33*100</f>
        <v>59.25951734604451</v>
      </c>
      <c r="K33" s="141">
        <f>F33-60413.2</f>
        <v>-4966.439999999995</v>
      </c>
      <c r="L33" s="142">
        <f>F33/60413.2</f>
        <v>0.9177921381419956</v>
      </c>
      <c r="M33" s="40">
        <f>E33-серпень!E33</f>
        <v>6401.309999999998</v>
      </c>
      <c r="N33" s="40">
        <f>F33-серпень!F33</f>
        <v>1154.020000000004</v>
      </c>
      <c r="O33" s="53">
        <f t="shared" si="3"/>
        <v>-5247.289999999994</v>
      </c>
      <c r="P33" s="56">
        <f aca="true" t="shared" si="17" ref="P33:P67">N33/M33*100</f>
        <v>18.02787241986413</v>
      </c>
      <c r="Q33" s="141">
        <f>N33-6624.9</f>
        <v>-5470.879999999996</v>
      </c>
      <c r="R33" s="142">
        <f>N33/6624.9</f>
        <v>0.17419432746154723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41171.04</v>
      </c>
      <c r="G55" s="144">
        <f t="shared" si="14"/>
        <v>-1300.7999999999956</v>
      </c>
      <c r="H55" s="146">
        <f t="shared" si="15"/>
        <v>96.93726478532601</v>
      </c>
      <c r="I55" s="145">
        <f t="shared" si="18"/>
        <v>-29094.96</v>
      </c>
      <c r="J55" s="145">
        <f t="shared" si="16"/>
        <v>58.59311758176074</v>
      </c>
      <c r="K55" s="148">
        <f>F55-43813.51</f>
        <v>-2642.470000000001</v>
      </c>
      <c r="L55" s="149">
        <f>F55/43813.51</f>
        <v>0.9396882377148053</v>
      </c>
      <c r="M55" s="40">
        <f>E55-серпень!E55</f>
        <v>4681.3499999999985</v>
      </c>
      <c r="N55" s="40">
        <f>F55-серпень!F55</f>
        <v>1030.770000000004</v>
      </c>
      <c r="O55" s="148">
        <f t="shared" si="3"/>
        <v>-3650.5799999999945</v>
      </c>
      <c r="P55" s="148">
        <f t="shared" si="17"/>
        <v>22.01864846678852</v>
      </c>
      <c r="Q55" s="160">
        <f>N55-4961.43</f>
        <v>-3930.659999999996</v>
      </c>
      <c r="R55" s="161">
        <f>N55/7961.43</f>
        <v>0.12947045945263652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1.51+4781.28</f>
        <v>4782.79</v>
      </c>
      <c r="G56" s="49">
        <f t="shared" si="14"/>
        <v>-330.71000000000004</v>
      </c>
      <c r="H56" s="40">
        <f t="shared" si="15"/>
        <v>93.53260975848244</v>
      </c>
      <c r="I56" s="56">
        <f t="shared" si="18"/>
        <v>-2077.21</v>
      </c>
      <c r="J56" s="56">
        <f t="shared" si="16"/>
        <v>69.71997084548104</v>
      </c>
      <c r="K56" s="56">
        <f>F56-4694.5</f>
        <v>88.28999999999996</v>
      </c>
      <c r="L56" s="135">
        <f>F56/4694.5</f>
        <v>1.0188071147087017</v>
      </c>
      <c r="M56" s="40">
        <f>E56-серпень!E56</f>
        <v>609.6000000000004</v>
      </c>
      <c r="N56" s="40">
        <f>F56-серпень!F56</f>
        <v>495.5</v>
      </c>
      <c r="O56" s="53">
        <f t="shared" si="3"/>
        <v>-114.10000000000036</v>
      </c>
      <c r="P56" s="56">
        <f t="shared" si="17"/>
        <v>81.28280839895008</v>
      </c>
      <c r="Q56" s="56">
        <f>N56-556.2</f>
        <v>-60.700000000000045</v>
      </c>
      <c r="R56" s="135">
        <f>N56/556.2</f>
        <v>0.8908665947500898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9558.89</v>
      </c>
      <c r="G74" s="50">
        <f aca="true" t="shared" si="24" ref="G74:G92">F74-E74</f>
        <v>-2621.1100000000006</v>
      </c>
      <c r="H74" s="51">
        <f aca="true" t="shared" si="25" ref="H74:H87">F74/E74*100</f>
        <v>78.48021346469622</v>
      </c>
      <c r="I74" s="36">
        <f aca="true" t="shared" si="26" ref="I74:I92">F74-D74</f>
        <v>-8799.41</v>
      </c>
      <c r="J74" s="36">
        <f aca="true" t="shared" si="27" ref="J74:J92">F74/D74*100</f>
        <v>52.068492180648526</v>
      </c>
      <c r="K74" s="36">
        <f>F74-14585.4</f>
        <v>-5026.51</v>
      </c>
      <c r="L74" s="136">
        <f>F74/14585.4</f>
        <v>0.6553738670177026</v>
      </c>
      <c r="M74" s="22">
        <f>M77+M86+M88+M89+M94+M95+M96+M97+M99+M87+M104</f>
        <v>1580.5</v>
      </c>
      <c r="N74" s="22">
        <f>N77+N86+N88+N89+N94+N95+N96+N97+N99+N32+N104+N87+N103</f>
        <v>949.1600000000001</v>
      </c>
      <c r="O74" s="55">
        <f aca="true" t="shared" si="28" ref="O74:O92">N74-M74</f>
        <v>-631.3399999999999</v>
      </c>
      <c r="P74" s="36">
        <f>N74/M74*100</f>
        <v>60.054413160392286</v>
      </c>
      <c r="Q74" s="36">
        <f>N74-1622.9</f>
        <v>-673.74</v>
      </c>
      <c r="R74" s="136">
        <f>N74/1622.9</f>
        <v>0.5848542732146158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F87-210.3</f>
        <v>45.47</v>
      </c>
      <c r="L87" s="135">
        <f>F87/210.3</f>
        <v>1.2162149310508796</v>
      </c>
      <c r="M87" s="40">
        <f>E87-серпень!E87</f>
        <v>0</v>
      </c>
      <c r="N87" s="40">
        <f>F87-серпень!F87</f>
        <v>0</v>
      </c>
      <c r="O87" s="53">
        <f t="shared" si="28"/>
        <v>0</v>
      </c>
      <c r="P87" s="56" t="e">
        <f t="shared" si="29"/>
        <v>#DIV/0!</v>
      </c>
      <c r="Q87" s="56">
        <f>N87-12.4</f>
        <v>-12.4</v>
      </c>
      <c r="R87" s="135">
        <f>N87/12.4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94.18</v>
      </c>
      <c r="G89" s="49">
        <f t="shared" si="24"/>
        <v>-34.81999999999999</v>
      </c>
      <c r="H89" s="40">
        <f>F89/E89*100</f>
        <v>73.0077519379845</v>
      </c>
      <c r="I89" s="56">
        <f t="shared" si="26"/>
        <v>-80.82</v>
      </c>
      <c r="J89" s="56">
        <f t="shared" si="27"/>
        <v>53.81714285714286</v>
      </c>
      <c r="K89" s="56">
        <f>F89-123.2</f>
        <v>-29.019999999999996</v>
      </c>
      <c r="L89" s="135">
        <f>F89/123.2</f>
        <v>0.764448051948052</v>
      </c>
      <c r="M89" s="40">
        <f>E89-серпень!E89</f>
        <v>15</v>
      </c>
      <c r="N89" s="40">
        <f>F89-серпень!F89</f>
        <v>11.820000000000007</v>
      </c>
      <c r="O89" s="53">
        <f t="shared" si="28"/>
        <v>-3.1799999999999926</v>
      </c>
      <c r="P89" s="56">
        <f>N89/M89*100</f>
        <v>78.80000000000005</v>
      </c>
      <c r="Q89" s="56">
        <f>N89-14.8</f>
        <v>-2.9799999999999933</v>
      </c>
      <c r="R89" s="135">
        <f>N89/14.8</f>
        <v>0.7986486486486492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732.29</v>
      </c>
      <c r="G96" s="49">
        <f t="shared" si="31"/>
        <v>-62.210000000000036</v>
      </c>
      <c r="H96" s="40">
        <f>F96/E96*100</f>
        <v>92.16991818753932</v>
      </c>
      <c r="I96" s="56">
        <f t="shared" si="32"/>
        <v>-467.71000000000004</v>
      </c>
      <c r="J96" s="56">
        <f>F96/D96*100</f>
        <v>61.024166666666666</v>
      </c>
      <c r="K96" s="56">
        <f>F96-795.5</f>
        <v>-63.210000000000036</v>
      </c>
      <c r="L96" s="135">
        <f>F96/795.5</f>
        <v>0.9205405405405405</v>
      </c>
      <c r="M96" s="40">
        <f>E96-серпень!E96</f>
        <v>100</v>
      </c>
      <c r="N96" s="40">
        <f>F96-серпень!F96</f>
        <v>46.629999999999995</v>
      </c>
      <c r="O96" s="53">
        <f t="shared" si="33"/>
        <v>-53.370000000000005</v>
      </c>
      <c r="P96" s="56">
        <f>N96/M96*100</f>
        <v>46.629999999999995</v>
      </c>
      <c r="Q96" s="56">
        <f>N96-102.1</f>
        <v>-55.47</v>
      </c>
      <c r="R96" s="135">
        <f>N96/102.1</f>
        <v>0.45670910871694415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2963.63</v>
      </c>
      <c r="G99" s="49">
        <f t="shared" si="31"/>
        <v>-43.36999999999989</v>
      </c>
      <c r="H99" s="40">
        <f>F99/E99*100</f>
        <v>98.55769870302628</v>
      </c>
      <c r="I99" s="56">
        <f t="shared" si="32"/>
        <v>-1609.0699999999997</v>
      </c>
      <c r="J99" s="56">
        <f>F99/D99*100</f>
        <v>64.81138058477487</v>
      </c>
      <c r="K99" s="56">
        <f>F99-3411.3</f>
        <v>-447.6700000000001</v>
      </c>
      <c r="L99" s="135">
        <f>F99/3411.3</f>
        <v>0.8687685046756368</v>
      </c>
      <c r="M99" s="40">
        <f>E99-серпень!E99</f>
        <v>410</v>
      </c>
      <c r="N99" s="40">
        <f>F99-серпень!F99</f>
        <v>260.97000000000025</v>
      </c>
      <c r="O99" s="53">
        <f t="shared" si="33"/>
        <v>-149.02999999999975</v>
      </c>
      <c r="P99" s="56">
        <f>N99/M99*100</f>
        <v>63.65121951219519</v>
      </c>
      <c r="Q99" s="56">
        <f>N99-432.2</f>
        <v>-171.22999999999973</v>
      </c>
      <c r="R99" s="135">
        <f>N99/432.2</f>
        <v>0.6038176770013889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730.2</v>
      </c>
      <c r="G102" s="144"/>
      <c r="H102" s="146"/>
      <c r="I102" s="145"/>
      <c r="J102" s="145"/>
      <c r="K102" s="148">
        <f>F102-545.2</f>
        <v>185</v>
      </c>
      <c r="L102" s="149">
        <f>F102/545.2</f>
        <v>1.3393250183418928</v>
      </c>
      <c r="M102" s="40">
        <f>E102-серпень!E102</f>
        <v>0</v>
      </c>
      <c r="N102" s="40">
        <f>F102-серпень!F102</f>
        <v>94.20000000000005</v>
      </c>
      <c r="O102" s="53"/>
      <c r="P102" s="60"/>
      <c r="Q102" s="60">
        <f>N102-124.1</f>
        <v>-29.89999999999995</v>
      </c>
      <c r="R102" s="138">
        <f>N102/124.1</f>
        <v>0.7590652699435942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334169.94999999995</v>
      </c>
      <c r="G107" s="50">
        <f>F107-E107</f>
        <v>-29393.04999999999</v>
      </c>
      <c r="H107" s="51">
        <f>F107/E107*100</f>
        <v>91.91528015777183</v>
      </c>
      <c r="I107" s="36">
        <f t="shared" si="34"/>
        <v>-172709.65000000002</v>
      </c>
      <c r="J107" s="36">
        <f t="shared" si="36"/>
        <v>65.92688875227964</v>
      </c>
      <c r="K107" s="36">
        <f>F107-358888.5</f>
        <v>-24718.550000000047</v>
      </c>
      <c r="L107" s="136">
        <f>F107/358888.5</f>
        <v>0.9311247086490649</v>
      </c>
      <c r="M107" s="22">
        <f>M8+M74+M105+M106</f>
        <v>40928.909999999996</v>
      </c>
      <c r="N107" s="22">
        <f>N8+N74+N105+N106</f>
        <v>16606.85</v>
      </c>
      <c r="O107" s="55">
        <f t="shared" si="35"/>
        <v>-24322.059999999998</v>
      </c>
      <c r="P107" s="36">
        <f>N107/M107*100</f>
        <v>40.57486505259974</v>
      </c>
      <c r="Q107" s="36">
        <f>N107-39133.2</f>
        <v>-22526.35</v>
      </c>
      <c r="R107" s="136">
        <f>N107/39133.2</f>
        <v>0.42436728915601074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265403.89999999997</v>
      </c>
      <c r="G108" s="71">
        <f>G10-G18+G96</f>
        <v>-22850.100000000013</v>
      </c>
      <c r="H108" s="72">
        <f>F108/E108*100</f>
        <v>92.07292873646158</v>
      </c>
      <c r="I108" s="52">
        <f t="shared" si="34"/>
        <v>-122809.30000000005</v>
      </c>
      <c r="J108" s="52">
        <f t="shared" si="36"/>
        <v>68.36550122458483</v>
      </c>
      <c r="K108" s="52">
        <f>F108-273558.9</f>
        <v>-8155.000000000058</v>
      </c>
      <c r="L108" s="137">
        <f>F108/273558.9</f>
        <v>0.9701892352981385</v>
      </c>
      <c r="M108" s="71">
        <f>M10-M18+M96</f>
        <v>32423.5</v>
      </c>
      <c r="N108" s="71">
        <f>N10-N18+N96</f>
        <v>14439.809999999992</v>
      </c>
      <c r="O108" s="53">
        <f t="shared" si="35"/>
        <v>-17983.69000000001</v>
      </c>
      <c r="P108" s="52">
        <f>N108/M108*100</f>
        <v>44.53501318488131</v>
      </c>
      <c r="Q108" s="52">
        <f>N108-30069.2</f>
        <v>-15629.390000000009</v>
      </c>
      <c r="R108" s="137">
        <f>N108/30069.2</f>
        <v>0.4802192941614673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68766.04999999999</v>
      </c>
      <c r="G109" s="62">
        <f>F109-E109</f>
        <v>-6542.949999999953</v>
      </c>
      <c r="H109" s="72">
        <f>F109/E109*100</f>
        <v>91.31186179606694</v>
      </c>
      <c r="I109" s="52">
        <f t="shared" si="34"/>
        <v>-49900.34999999998</v>
      </c>
      <c r="J109" s="52">
        <f t="shared" si="36"/>
        <v>57.94904876190734</v>
      </c>
      <c r="K109" s="52">
        <f>F109-85329.7</f>
        <v>-16563.65000000001</v>
      </c>
      <c r="L109" s="137">
        <f>F109/85329.7</f>
        <v>0.8058864615719965</v>
      </c>
      <c r="M109" s="71">
        <f>M107-M108</f>
        <v>8505.409999999996</v>
      </c>
      <c r="N109" s="71">
        <f>N107-N108</f>
        <v>2167.0400000000063</v>
      </c>
      <c r="O109" s="53">
        <f t="shared" si="35"/>
        <v>-6338.36999999999</v>
      </c>
      <c r="P109" s="52">
        <f>N109/M109*100</f>
        <v>25.478372000879524</v>
      </c>
      <c r="Q109" s="52">
        <f>N109-9064</f>
        <v>-6896.959999999994</v>
      </c>
      <c r="R109" s="137">
        <f>N109/9064</f>
        <v>0.2390820829655788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265403.89999999997</v>
      </c>
      <c r="G110" s="111">
        <f>F110-E110</f>
        <v>-17480.20000000001</v>
      </c>
      <c r="H110" s="72">
        <f>F110/E110*100</f>
        <v>93.8207202172197</v>
      </c>
      <c r="I110" s="81">
        <f t="shared" si="34"/>
        <v>-122809.30000000005</v>
      </c>
      <c r="J110" s="52">
        <f t="shared" si="36"/>
        <v>68.36550122458483</v>
      </c>
      <c r="K110" s="52"/>
      <c r="L110" s="137"/>
      <c r="M110" s="72">
        <f>E110-серпень!E110</f>
        <v>32423.49999999997</v>
      </c>
      <c r="N110" s="71">
        <f>N108</f>
        <v>14439.809999999992</v>
      </c>
      <c r="O110" s="63">
        <f t="shared" si="35"/>
        <v>-17983.68999999998</v>
      </c>
      <c r="P110" s="52">
        <f>N110/M110*100</f>
        <v>44.53501318488135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1071</v>
      </c>
      <c r="G115" s="49">
        <f t="shared" si="37"/>
        <v>-1608.6</v>
      </c>
      <c r="H115" s="40">
        <f aca="true" t="shared" si="39" ref="H115:H126">F115/E115*100</f>
        <v>39.96865203761756</v>
      </c>
      <c r="I115" s="60">
        <f t="shared" si="38"/>
        <v>-2600.5</v>
      </c>
      <c r="J115" s="60">
        <f aca="true" t="shared" si="40" ref="J115:J121">F115/D115*100</f>
        <v>29.170638703527167</v>
      </c>
      <c r="K115" s="60">
        <f>F115-3077.6</f>
        <v>-2006.6</v>
      </c>
      <c r="L115" s="138">
        <f>F115/3077.6</f>
        <v>0.34799844034312455</v>
      </c>
      <c r="M115" s="40">
        <f>E115-серпень!E115</f>
        <v>327.5</v>
      </c>
      <c r="N115" s="40">
        <f>F115-серпень!F115</f>
        <v>85.48000000000002</v>
      </c>
      <c r="O115" s="53">
        <f aca="true" t="shared" si="41" ref="O115:O126">N115-M115</f>
        <v>-242.01999999999998</v>
      </c>
      <c r="P115" s="60">
        <f>N115/M115*100</f>
        <v>26.100763358778632</v>
      </c>
      <c r="Q115" s="60">
        <f>N115-150.5</f>
        <v>-65.01999999999998</v>
      </c>
      <c r="R115" s="138">
        <f>N115/150.5</f>
        <v>0.5679734219269105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236.19</v>
      </c>
      <c r="G116" s="49">
        <f t="shared" si="37"/>
        <v>35.69</v>
      </c>
      <c r="H116" s="40">
        <f t="shared" si="39"/>
        <v>117.8004987531172</v>
      </c>
      <c r="I116" s="60">
        <f t="shared" si="38"/>
        <v>-31.910000000000025</v>
      </c>
      <c r="J116" s="60">
        <f t="shared" si="40"/>
        <v>88.0977247295785</v>
      </c>
      <c r="K116" s="60">
        <f>F116-200.1</f>
        <v>36.09</v>
      </c>
      <c r="L116" s="138">
        <f>F116/200.1</f>
        <v>1.180359820089955</v>
      </c>
      <c r="M116" s="40">
        <f>E116-серпень!E116</f>
        <v>22</v>
      </c>
      <c r="N116" s="40">
        <f>F116-серпень!F116</f>
        <v>28.870000000000005</v>
      </c>
      <c r="O116" s="53">
        <f t="shared" si="41"/>
        <v>6.8700000000000045</v>
      </c>
      <c r="P116" s="60">
        <f>N116/M116*100</f>
        <v>131.22727272727275</v>
      </c>
      <c r="Q116" s="60">
        <f>N116-24.4</f>
        <v>4.470000000000006</v>
      </c>
      <c r="R116" s="138">
        <f>N116/24.4</f>
        <v>1.1831967213114756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1306.45</v>
      </c>
      <c r="G117" s="62">
        <f t="shared" si="37"/>
        <v>-1573.6499999999999</v>
      </c>
      <c r="H117" s="72">
        <f t="shared" si="39"/>
        <v>45.361272178049376</v>
      </c>
      <c r="I117" s="61">
        <f t="shared" si="38"/>
        <v>-2633.1499999999996</v>
      </c>
      <c r="J117" s="61">
        <f t="shared" si="40"/>
        <v>33.16199614174028</v>
      </c>
      <c r="K117" s="61">
        <f>F117-3299.2</f>
        <v>-1992.7499999999998</v>
      </c>
      <c r="L117" s="139">
        <f>F117/3299.2</f>
        <v>0.3959899369544132</v>
      </c>
      <c r="M117" s="62">
        <f>M115+M116+M114</f>
        <v>349.5</v>
      </c>
      <c r="N117" s="38">
        <f>SUM(N114:N116)</f>
        <v>114.57000000000002</v>
      </c>
      <c r="O117" s="61">
        <f t="shared" si="41"/>
        <v>-234.92999999999998</v>
      </c>
      <c r="P117" s="61">
        <f>N117/M117*100</f>
        <v>32.781115879828334</v>
      </c>
      <c r="Q117" s="61">
        <f>N117-175.8</f>
        <v>-61.22999999999999</v>
      </c>
      <c r="R117" s="139">
        <f>N117/175.8</f>
        <v>0.6517064846416383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291.47</v>
      </c>
      <c r="G119" s="49">
        <f t="shared" si="37"/>
        <v>103.97000000000003</v>
      </c>
      <c r="H119" s="40">
        <f t="shared" si="39"/>
        <v>155.45066666666668</v>
      </c>
      <c r="I119" s="60">
        <f t="shared" si="38"/>
        <v>24.27000000000004</v>
      </c>
      <c r="J119" s="60">
        <f t="shared" si="40"/>
        <v>109.08308383233533</v>
      </c>
      <c r="K119" s="60">
        <f>F119-174.4</f>
        <v>117.07000000000002</v>
      </c>
      <c r="L119" s="138">
        <f>F119/174.4</f>
        <v>1.6712729357798166</v>
      </c>
      <c r="M119" s="40">
        <f>E119-серпень!E119</f>
        <v>5</v>
      </c>
      <c r="N119" s="40">
        <f>F119-серпень!F119</f>
        <v>2.670000000000016</v>
      </c>
      <c r="O119" s="53">
        <f>N119-M119</f>
        <v>-2.329999999999984</v>
      </c>
      <c r="P119" s="60">
        <f>N119/M119*100</f>
        <v>53.40000000000031</v>
      </c>
      <c r="Q119" s="60">
        <f>N119-1.4</f>
        <v>1.270000000000016</v>
      </c>
      <c r="R119" s="138">
        <f>N119/1.4</f>
        <v>1.9071428571428686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57768.31</v>
      </c>
      <c r="G120" s="49">
        <f t="shared" si="37"/>
        <v>5255.709999999999</v>
      </c>
      <c r="H120" s="40">
        <f t="shared" si="39"/>
        <v>110.00847415667859</v>
      </c>
      <c r="I120" s="53">
        <f t="shared" si="38"/>
        <v>-14207.680000000008</v>
      </c>
      <c r="J120" s="60">
        <f t="shared" si="40"/>
        <v>80.26052854569976</v>
      </c>
      <c r="K120" s="60">
        <f>F120-50659.1</f>
        <v>7109.209999999999</v>
      </c>
      <c r="L120" s="138">
        <f>F120/50659.1</f>
        <v>1.1403343130849146</v>
      </c>
      <c r="M120" s="40">
        <f>E120-серпень!E120</f>
        <v>3100</v>
      </c>
      <c r="N120" s="40">
        <f>F120-серпень!F120</f>
        <v>1653.6800000000003</v>
      </c>
      <c r="O120" s="53">
        <f t="shared" si="41"/>
        <v>-1446.3199999999997</v>
      </c>
      <c r="P120" s="60">
        <f aca="true" t="shared" si="42" ref="P120:P125">N120/M120*100</f>
        <v>53.34451612903227</v>
      </c>
      <c r="Q120" s="60">
        <f>N120-3034.9</f>
        <v>-1381.2199999999998</v>
      </c>
      <c r="R120" s="138">
        <f>N120/3034.9</f>
        <v>0.5448878051995124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12928.3</v>
      </c>
      <c r="F122" s="174">
        <v>2311.79</v>
      </c>
      <c r="G122" s="49">
        <f t="shared" si="37"/>
        <v>-10616.509999999998</v>
      </c>
      <c r="H122" s="40">
        <f t="shared" si="39"/>
        <v>17.881624034095744</v>
      </c>
      <c r="I122" s="60">
        <f t="shared" si="38"/>
        <v>-20766.21</v>
      </c>
      <c r="J122" s="60">
        <f>F122/D122*100</f>
        <v>10.017289193170985</v>
      </c>
      <c r="K122" s="60">
        <f>F122-22303.9</f>
        <v>-19992.11</v>
      </c>
      <c r="L122" s="138">
        <f>F122/22303.9</f>
        <v>0.10364958594685234</v>
      </c>
      <c r="M122" s="40">
        <f>E122-серпень!E122</f>
        <v>3314.2999999999993</v>
      </c>
      <c r="N122" s="40">
        <f>F122-серпень!F122</f>
        <v>20</v>
      </c>
      <c r="O122" s="53">
        <f t="shared" si="41"/>
        <v>-3294.2999999999993</v>
      </c>
      <c r="P122" s="60">
        <f t="shared" si="42"/>
        <v>0.6034456748031259</v>
      </c>
      <c r="Q122" s="60">
        <f>N122-7566.7</f>
        <v>-7546.7</v>
      </c>
      <c r="R122" s="138">
        <f>N122/7566.7</f>
        <v>0.002643160162290034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941.06</v>
      </c>
      <c r="G123" s="49">
        <f t="shared" si="37"/>
        <v>-490.1600000000001</v>
      </c>
      <c r="H123" s="40">
        <f t="shared" si="39"/>
        <v>65.75229524461648</v>
      </c>
      <c r="I123" s="60">
        <f t="shared" si="38"/>
        <v>-1058.94</v>
      </c>
      <c r="J123" s="60">
        <f>F123/D123*100</f>
        <v>47.053</v>
      </c>
      <c r="K123" s="60">
        <f>F123-1660.3</f>
        <v>-719.24</v>
      </c>
      <c r="L123" s="138">
        <f>F123/1660.3</f>
        <v>0.5668011805095464</v>
      </c>
      <c r="M123" s="40">
        <f>E123-серпень!E123</f>
        <v>189.58999999999992</v>
      </c>
      <c r="N123" s="40">
        <f>F123-серпень!F123</f>
        <v>76.43999999999994</v>
      </c>
      <c r="O123" s="53">
        <f t="shared" si="41"/>
        <v>-113.14999999999998</v>
      </c>
      <c r="P123" s="60">
        <f t="shared" si="42"/>
        <v>40.31858220370271</v>
      </c>
      <c r="Q123" s="60">
        <f>N123-20.2</f>
        <v>56.23999999999994</v>
      </c>
      <c r="R123" s="138">
        <f>N123/20.2</f>
        <v>3.7841584158415813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68782.62</v>
      </c>
      <c r="F124" s="173">
        <f>F120+F121+F122+F123+F119</f>
        <v>63067.36</v>
      </c>
      <c r="G124" s="62">
        <f t="shared" si="37"/>
        <v>-5715.259999999995</v>
      </c>
      <c r="H124" s="72">
        <f t="shared" si="39"/>
        <v>91.69083701667661</v>
      </c>
      <c r="I124" s="61">
        <f t="shared" si="38"/>
        <v>-39003.83</v>
      </c>
      <c r="J124" s="61">
        <f>F124/D124*100</f>
        <v>61.78762097316588</v>
      </c>
      <c r="K124" s="61">
        <f>F124-76087.4</f>
        <v>-13020.039999999994</v>
      </c>
      <c r="L124" s="139">
        <f>F124/76087.4</f>
        <v>0.8288804716681081</v>
      </c>
      <c r="M124" s="62">
        <f>M120+M121+M122+M123+M119</f>
        <v>6608.889999999999</v>
      </c>
      <c r="N124" s="62">
        <f>N120+N121+N122+N123+N119</f>
        <v>1752.8400000000001</v>
      </c>
      <c r="O124" s="61">
        <f t="shared" si="41"/>
        <v>-4856.049999999999</v>
      </c>
      <c r="P124" s="61">
        <f t="shared" si="42"/>
        <v>26.5224568724854</v>
      </c>
      <c r="Q124" s="61">
        <f>N124-10790.5</f>
        <v>-9037.66</v>
      </c>
      <c r="R124" s="139">
        <f>N124/10790.5</f>
        <v>0.16244288957879618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7366.18</v>
      </c>
      <c r="G128" s="49">
        <f aca="true" t="shared" si="43" ref="G128:G135">F128-E128</f>
        <v>647.6800000000003</v>
      </c>
      <c r="H128" s="40">
        <f>F128/E128*100</f>
        <v>109.64024707896107</v>
      </c>
      <c r="I128" s="60">
        <f aca="true" t="shared" si="44" ref="I128:I135">F128-D128</f>
        <v>-1333.8199999999997</v>
      </c>
      <c r="J128" s="60">
        <f>F128/D128*100</f>
        <v>84.66873563218391</v>
      </c>
      <c r="K128" s="60">
        <f>F128-8715.2</f>
        <v>-1349.0200000000004</v>
      </c>
      <c r="L128" s="138">
        <f>F128/8715.2</f>
        <v>0.8452106664218836</v>
      </c>
      <c r="M128" s="40">
        <f>E128-серпень!E128</f>
        <v>1</v>
      </c>
      <c r="N128" s="40">
        <f>F128-серпень!F128</f>
        <v>2.6599999999998545</v>
      </c>
      <c r="O128" s="53">
        <f aca="true" t="shared" si="45" ref="O128:O135">N128-M128</f>
        <v>1.6599999999998545</v>
      </c>
      <c r="P128" s="60">
        <f>N128/M128*100</f>
        <v>265.99999999998545</v>
      </c>
      <c r="Q128" s="60">
        <f>N128-35</f>
        <v>-32.340000000000146</v>
      </c>
      <c r="R128" s="162">
        <f>N128/35</f>
        <v>0.07599999999999585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7400.72</v>
      </c>
      <c r="G130" s="62">
        <f t="shared" si="43"/>
        <v>647.8600000000006</v>
      </c>
      <c r="H130" s="72">
        <f>F130/E130*100</f>
        <v>109.5938609714995</v>
      </c>
      <c r="I130" s="61">
        <f t="shared" si="44"/>
        <v>-1349.9800000000005</v>
      </c>
      <c r="J130" s="61">
        <f>F130/D130*100</f>
        <v>84.57289131155221</v>
      </c>
      <c r="K130" s="61">
        <f>F130-8836.4</f>
        <v>-1435.6799999999994</v>
      </c>
      <c r="L130" s="139">
        <f>G130/8836.4</f>
        <v>0.0733171879951112</v>
      </c>
      <c r="M130" s="62">
        <f>M125+M128+M129+M127</f>
        <v>5</v>
      </c>
      <c r="N130" s="62">
        <f>N125+N128+N129+N127</f>
        <v>2.6999999999998545</v>
      </c>
      <c r="O130" s="61">
        <f t="shared" si="45"/>
        <v>-2.3000000000001455</v>
      </c>
      <c r="P130" s="61">
        <f>N130/M130*100</f>
        <v>53.999999999997094</v>
      </c>
      <c r="Q130" s="61">
        <f>N130-35.8</f>
        <v>-33.10000000000014</v>
      </c>
      <c r="R130" s="137">
        <f>N130/35.8</f>
        <v>0.07541899441340376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F131-25.4</f>
        <v>-2.7799999999999976</v>
      </c>
      <c r="L131" s="138">
        <f>F131/25.4</f>
        <v>0.8905511811023623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78439.03</v>
      </c>
      <c r="F134" s="31">
        <f>F117+F131+F124+F130+F133+F132</f>
        <v>71797.15</v>
      </c>
      <c r="G134" s="50">
        <f t="shared" si="43"/>
        <v>-6641.880000000005</v>
      </c>
      <c r="H134" s="51">
        <f>F134/E134*100</f>
        <v>91.53242971005633</v>
      </c>
      <c r="I134" s="36">
        <f t="shared" si="44"/>
        <v>-42994.34000000001</v>
      </c>
      <c r="J134" s="36">
        <f>F134/D134*100</f>
        <v>62.54570787433806</v>
      </c>
      <c r="K134" s="36">
        <f>F134-88248.3</f>
        <v>-16451.15000000001</v>
      </c>
      <c r="L134" s="136">
        <f>F134/88248.3</f>
        <v>0.8135811114775015</v>
      </c>
      <c r="M134" s="31">
        <f>M117+M131+M124+M130+M133+M132</f>
        <v>6970.389999999999</v>
      </c>
      <c r="N134" s="31">
        <f>N117+N131+N124+N130+N133+N132</f>
        <v>1870.11</v>
      </c>
      <c r="O134" s="36">
        <f t="shared" si="45"/>
        <v>-5100.28</v>
      </c>
      <c r="P134" s="36">
        <f>N134/M134*100</f>
        <v>26.82934527336347</v>
      </c>
      <c r="Q134" s="36">
        <f>N134-11009.7</f>
        <v>-9139.59</v>
      </c>
      <c r="R134" s="136">
        <f>N134/11009.7</f>
        <v>0.16986021417477312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442002.0299999999</v>
      </c>
      <c r="F135" s="31">
        <f>F107+F134</f>
        <v>405967.1</v>
      </c>
      <c r="G135" s="50">
        <f t="shared" si="43"/>
        <v>-36034.929999999935</v>
      </c>
      <c r="H135" s="51">
        <f>F135/E135*100</f>
        <v>91.8473383481972</v>
      </c>
      <c r="I135" s="36">
        <f t="shared" si="44"/>
        <v>-215703.99</v>
      </c>
      <c r="J135" s="36">
        <f>F135/D135*100</f>
        <v>65.3025541207007</v>
      </c>
      <c r="K135" s="36">
        <f>F135-447136.8</f>
        <v>-41169.70000000001</v>
      </c>
      <c r="L135" s="136">
        <f>F135/447136.8</f>
        <v>0.9079259412331975</v>
      </c>
      <c r="M135" s="22">
        <f>M107+M134</f>
        <v>47899.299999999996</v>
      </c>
      <c r="N135" s="22">
        <f>N107+N134</f>
        <v>18476.96</v>
      </c>
      <c r="O135" s="36">
        <f t="shared" si="45"/>
        <v>-29422.339999999997</v>
      </c>
      <c r="P135" s="36">
        <f>N135/M135*100</f>
        <v>38.574592948122415</v>
      </c>
      <c r="Q135" s="36">
        <f>N135-50142.9</f>
        <v>-31665.940000000002</v>
      </c>
      <c r="R135" s="136">
        <f>N135/50142.9</f>
        <v>0.36848606682102547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11</v>
      </c>
      <c r="D137" s="4" t="s">
        <v>118</v>
      </c>
    </row>
    <row r="138" spans="2:17" ht="31.5">
      <c r="B138" s="78" t="s">
        <v>154</v>
      </c>
      <c r="C138" s="39">
        <f>IF(O107&lt;0,ABS(O107/C137),0)</f>
        <v>2211.0963636363635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41897</v>
      </c>
      <c r="D139" s="39">
        <v>2109.7</v>
      </c>
      <c r="N139" s="209"/>
      <c r="O139" s="209"/>
    </row>
    <row r="140" spans="3:15" ht="15.75">
      <c r="C140" s="120">
        <v>41894</v>
      </c>
      <c r="D140" s="39">
        <v>1256.2</v>
      </c>
      <c r="F140" s="4" t="s">
        <v>166</v>
      </c>
      <c r="G140" s="210" t="s">
        <v>151</v>
      </c>
      <c r="H140" s="210"/>
      <c r="I140" s="115"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41893</v>
      </c>
      <c r="D141" s="39">
        <v>558.3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121524.01776</v>
      </c>
      <c r="E143" s="80"/>
      <c r="F143" s="100" t="s">
        <v>147</v>
      </c>
      <c r="G143" s="210" t="s">
        <v>149</v>
      </c>
      <c r="H143" s="210"/>
      <c r="I143" s="116">
        <v>112503.42123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22401.32639999999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1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636</v>
      </c>
      <c r="G102" s="144"/>
      <c r="H102" s="146"/>
      <c r="I102" s="145"/>
      <c r="J102" s="145"/>
      <c r="K102" s="148">
        <f>F102-421.2</f>
        <v>214.8</v>
      </c>
      <c r="L102" s="149">
        <f>F102/421.2</f>
        <v>1.50997150997151</v>
      </c>
      <c r="M102" s="40">
        <f>E102-липень!E102</f>
        <v>0</v>
      </c>
      <c r="N102" s="40">
        <f>F102-липень!F102</f>
        <v>166.10000000000002</v>
      </c>
      <c r="O102" s="53"/>
      <c r="P102" s="60"/>
      <c r="Q102" s="60">
        <f>N102-95.6</f>
        <v>70.50000000000003</v>
      </c>
      <c r="R102" s="138">
        <f>N102/95.6</f>
        <v>1.7374476987447702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22401.32639999999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2014-09-16T14:00:02Z</cp:lastPrinted>
  <dcterms:created xsi:type="dcterms:W3CDTF">2003-07-28T11:27:56Z</dcterms:created>
  <dcterms:modified xsi:type="dcterms:W3CDTF">2014-09-16T14:01:49Z</dcterms:modified>
  <cp:category/>
  <cp:version/>
  <cp:contentType/>
  <cp:contentStatus/>
</cp:coreProperties>
</file>